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Encommon\Misc\Phil Gaebler\AgriculturalUtilityCredit\StormwaterUtilityReductions\"/>
    </mc:Choice>
  </mc:AlternateContent>
  <bookViews>
    <workbookView xWindow="0" yWindow="0" windowWidth="22815" windowHeight="10395" activeTab="2"/>
  </bookViews>
  <sheets>
    <sheet name="credit master list" sheetId="3" r:id="rId1"/>
    <sheet name="Commercial TSS only Treatment" sheetId="4" r:id="rId2"/>
    <sheet name="Residential Raingarden " sheetId="5" r:id="rId3"/>
    <sheet name="Sheet1" sheetId="1" r:id="rId4"/>
    <sheet name="Sheet2" sheetId="2" r:id="rId5"/>
  </sheets>
  <calcPr calcId="162913" calcMode="autoNoTable" iterate="1" iterateCount="1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5" l="1"/>
  <c r="C4" i="5" s="1"/>
  <c r="D4" i="5" s="1"/>
  <c r="B6" i="5"/>
  <c r="C6" i="5" s="1"/>
  <c r="B7" i="5"/>
  <c r="B3" i="5"/>
  <c r="C7" i="5"/>
  <c r="B5" i="5"/>
  <c r="B8" i="4"/>
  <c r="C8" i="4"/>
  <c r="B9" i="4"/>
  <c r="C9" i="4"/>
  <c r="B10" i="4"/>
  <c r="C10" i="4" s="1"/>
  <c r="B11" i="4"/>
  <c r="C11" i="4"/>
  <c r="B12" i="4"/>
  <c r="C12" i="4" s="1"/>
  <c r="B13" i="4"/>
  <c r="C13" i="4" s="1"/>
  <c r="B14" i="4"/>
  <c r="C14" i="4"/>
  <c r="B3" i="4"/>
  <c r="C3" i="4" s="1"/>
  <c r="B4" i="4"/>
  <c r="C4" i="4" s="1"/>
  <c r="B5" i="4"/>
  <c r="C5" i="4" s="1"/>
  <c r="B7" i="4"/>
  <c r="C7" i="4" s="1"/>
  <c r="B6" i="4"/>
  <c r="C6" i="4" s="1"/>
  <c r="C3" i="5" l="1"/>
  <c r="D3" i="5" s="1"/>
  <c r="C5" i="5"/>
  <c r="D7" i="5"/>
  <c r="D6" i="5"/>
  <c r="G8" i="3"/>
  <c r="G7" i="3"/>
  <c r="G5" i="3"/>
  <c r="G6" i="3"/>
  <c r="H6" i="3"/>
  <c r="F9" i="3"/>
  <c r="F5" i="3" s="1"/>
  <c r="F10" i="3" s="1"/>
  <c r="G10" i="3" s="1"/>
  <c r="D5" i="5" l="1"/>
  <c r="H10" i="3"/>
  <c r="H9" i="3"/>
  <c r="G9" i="3"/>
  <c r="H5" i="3"/>
  <c r="F4" i="3"/>
  <c r="B10" i="2"/>
  <c r="C10" i="2" s="1"/>
  <c r="B11" i="2"/>
  <c r="C11" i="2"/>
  <c r="C4" i="2"/>
  <c r="C5" i="2"/>
  <c r="C6" i="2"/>
  <c r="C7" i="2"/>
  <c r="C8" i="2"/>
  <c r="C9" i="2"/>
  <c r="C3" i="2"/>
  <c r="B9" i="2"/>
  <c r="B8" i="2"/>
  <c r="B7" i="2"/>
  <c r="B4" i="2"/>
  <c r="B5" i="2"/>
  <c r="B6" i="2"/>
  <c r="B3" i="2"/>
  <c r="C6" i="1"/>
  <c r="C8" i="1" s="1"/>
  <c r="B9" i="1" s="1"/>
  <c r="B8" i="1"/>
  <c r="D7" i="1"/>
  <c r="E7" i="1" s="1"/>
  <c r="F7" i="1" s="1"/>
  <c r="D5" i="1"/>
  <c r="E5" i="1"/>
  <c r="F5" i="1" s="1"/>
  <c r="D4" i="1"/>
  <c r="E4" i="1" s="1"/>
  <c r="F4" i="1" s="1"/>
  <c r="F3" i="1"/>
  <c r="E3" i="1"/>
  <c r="D3" i="1"/>
  <c r="C3" i="1"/>
  <c r="H4" i="3" l="1"/>
  <c r="G4" i="3"/>
  <c r="D8" i="1"/>
  <c r="E8" i="1" s="1"/>
  <c r="F8" i="1" s="1"/>
  <c r="D6" i="1"/>
  <c r="E6" i="1" s="1"/>
  <c r="F6" i="1" s="1"/>
</calcChain>
</file>

<file path=xl/sharedStrings.xml><?xml version="1.0" encoding="utf-8"?>
<sst xmlns="http://schemas.openxmlformats.org/spreadsheetml/2006/main" count="83" uniqueCount="61">
  <si>
    <t>contributing</t>
  </si>
  <si>
    <t>side</t>
  </si>
  <si>
    <t>top side</t>
  </si>
  <si>
    <t>top area</t>
  </si>
  <si>
    <t>TSS Com</t>
  </si>
  <si>
    <t>Peak</t>
  </si>
  <si>
    <t>%</t>
  </si>
  <si>
    <t>2 ac</t>
  </si>
  <si>
    <t xml:space="preserve">Impervious Area to Rain Garden ( square feet) </t>
  </si>
  <si>
    <t>Rain Garden Bottom Area ( square feet)</t>
  </si>
  <si>
    <t xml:space="preserve">Rain Garden Top Area ( square feet) </t>
  </si>
  <si>
    <t>Minimum Number of Underdrains **</t>
  </si>
  <si>
    <t>** Underdrains are a minimum 6" drilled PVC pipe that are placed under the engineered soil  to help the garden drain</t>
  </si>
  <si>
    <t>Chart A: Minimum Rain Garden Area Needed for TSS Credit</t>
  </si>
  <si>
    <t>Physical Characteristics</t>
  </si>
  <si>
    <t>2) Minimum of 1 under drain for every 30,000 square feet of drainage area</t>
  </si>
  <si>
    <t>1) Typical Garden has 1' of ponding depth</t>
  </si>
  <si>
    <t>3) 2 feet engineerind soil  ( 70% sand , 30% compost)</t>
  </si>
  <si>
    <t>4) Native soil with infiltration rates greater than 3.6" per hour ( pure sand) do not require underdrains.</t>
  </si>
  <si>
    <t>Credit</t>
  </si>
  <si>
    <t>Conveyance Credit</t>
  </si>
  <si>
    <t>Pollutant Credit</t>
  </si>
  <si>
    <t>Metric</t>
  </si>
  <si>
    <t>80% TSS reduction</t>
  </si>
  <si>
    <t>Sub category</t>
  </si>
  <si>
    <t>shoreland</t>
  </si>
  <si>
    <t>10-yr no runoff</t>
  </si>
  <si>
    <t>Forest</t>
  </si>
  <si>
    <t>DirectDrainage</t>
  </si>
  <si>
    <t>Water Quality expenses</t>
  </si>
  <si>
    <t>land is continuous canopy forest</t>
  </si>
  <si>
    <t>Storage volume or Storage plus infiltration if stamped by P.E</t>
  </si>
  <si>
    <t>Agricultural</t>
  </si>
  <si>
    <t>multi parcel</t>
  </si>
  <si>
    <t>one parcel</t>
  </si>
  <si>
    <t>Wisconsin Wetland inventory GIS layer from surface water data viewer or Delineated Wetland</t>
  </si>
  <si>
    <r>
      <t xml:space="preserve"> </t>
    </r>
    <r>
      <rPr>
        <sz val="11"/>
        <color theme="1"/>
        <rFont val="Calibri"/>
        <family val="2"/>
        <scheme val="minor"/>
      </rPr>
      <t xml:space="preserve">The property drains to a ditch or ditches, without improved storm sewer facilities; and The property is not receiving services from City of Madison’s water or sanitary sewer </t>
    </r>
  </si>
  <si>
    <t>Recent Annexations</t>
  </si>
  <si>
    <t>ii. Parcels that were legally subdivided solely as a result of annexation to the City of Madison and which are owned by the same property owner(s) shall, for purposes of application of this credit, be treated as a single contiguous parcel.</t>
  </si>
  <si>
    <t>Transitional</t>
  </si>
  <si>
    <t>Prairie</t>
  </si>
  <si>
    <t>land is native prairie not mowed more than 2 time a year</t>
  </si>
  <si>
    <t xml:space="preserve">Lake Mendota, Lake Wingra, Lake Monona, the Yahara River, Wingra (Murphy) Creek, Nine Springs Creek, or Starkweather Creek  </t>
  </si>
  <si>
    <t>Reduction Percentage</t>
  </si>
  <si>
    <t>If greater that 5 ac then reduce to 5 ac but keep all impervious</t>
  </si>
  <si>
    <t>Wetland</t>
  </si>
  <si>
    <t>Pervious Area ( sf)</t>
  </si>
  <si>
    <t>Impervious Area (sf)</t>
  </si>
  <si>
    <t>Pervious Square foot reduction</t>
  </si>
  <si>
    <t>Impervious Square foot reduction</t>
  </si>
  <si>
    <t>N/A</t>
  </si>
  <si>
    <t>Acres</t>
  </si>
  <si>
    <t>Square Feet</t>
  </si>
  <si>
    <t>Reduce to 5 ac total</t>
  </si>
  <si>
    <t>2) This assumes an infiltration rate of 1.63 "/hr</t>
  </si>
  <si>
    <t>3) If native plants are used, no infiltration testing required, If planted in turf grass, double ring infiltration testing is required.</t>
  </si>
  <si>
    <t>Infiltration Rate (inches per hour)</t>
  </si>
  <si>
    <t>**Gardens smaller that the required Storage volume are eligible for a prorated credit based on storage volume</t>
  </si>
  <si>
    <t>Required Storage Volume** ( cubic feet)</t>
  </si>
  <si>
    <t>Chart B: Residential Rain Garden Sizing for 10-yr (4.09 inch 24 hr storm) Credit</t>
  </si>
  <si>
    <t>1) Typical Garden has 0.5' of ponding depth, maximum depth allow is 0.75'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</si>
</sst>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7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9" fontId="0" fillId="0" borderId="0" xfId="0" applyNumberFormat="1"/>
    <xf numFmtId="0" fontId="0" fillId="2" borderId="0" xfId="0" applyFill="1"/>
    <xf numFmtId="3" fontId="0" fillId="0" borderId="1" xfId="0" applyNumberFormat="1" applyBorder="1"/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1" fillId="0" borderId="0" xfId="0" applyFont="1"/>
    <xf numFmtId="2" fontId="0" fillId="3" borderId="1" xfId="0" applyNumberFormat="1" applyFill="1" applyBorder="1" applyAlignment="1">
      <alignment horizontal="center" wrapText="1"/>
    </xf>
    <xf numFmtId="0" fontId="0" fillId="0" borderId="1" xfId="0" applyBorder="1"/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1" xfId="0" applyBorder="1" applyAlignment="1">
      <alignment wrapText="1"/>
    </xf>
    <xf numFmtId="10" fontId="0" fillId="0" borderId="1" xfId="0" applyNumberForma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wrapText="1"/>
    </xf>
    <xf numFmtId="0" fontId="0" fillId="0" borderId="1" xfId="0" applyBorder="1" applyAlignment="1">
      <alignment horizontal="right" wrapText="1"/>
    </xf>
    <xf numFmtId="0" fontId="0" fillId="0" borderId="2" xfId="0" applyBorder="1" applyAlignme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3"/>
  <sheetViews>
    <sheetView workbookViewId="0">
      <selection activeCell="G17" sqref="G17"/>
    </sheetView>
  </sheetViews>
  <sheetFormatPr defaultRowHeight="15" x14ac:dyDescent="0.25"/>
  <cols>
    <col min="1" max="1" width="17.85546875" bestFit="1" customWidth="1"/>
    <col min="2" max="2" width="20.7109375" customWidth="1"/>
    <col min="3" max="3" width="50.42578125" style="6" customWidth="1"/>
    <col min="4" max="4" width="9" bestFit="1" customWidth="1"/>
    <col min="5" max="5" width="11" bestFit="1" customWidth="1"/>
    <col min="6" max="6" width="13" customWidth="1"/>
    <col min="7" max="7" width="15.28515625" customWidth="1"/>
    <col min="8" max="8" width="20.28515625" customWidth="1"/>
    <col min="9" max="9" width="22.5703125" bestFit="1" customWidth="1"/>
  </cols>
  <sheetData>
    <row r="3" spans="1:12" ht="35.25" customHeight="1" x14ac:dyDescent="0.25">
      <c r="A3" s="10" t="s">
        <v>19</v>
      </c>
      <c r="B3" s="10" t="s">
        <v>24</v>
      </c>
      <c r="C3" s="11" t="s">
        <v>22</v>
      </c>
      <c r="D3" s="11" t="s">
        <v>46</v>
      </c>
      <c r="E3" s="11" t="s">
        <v>47</v>
      </c>
      <c r="F3" s="11" t="s">
        <v>43</v>
      </c>
      <c r="G3" s="16" t="s">
        <v>48</v>
      </c>
      <c r="H3" s="16" t="s">
        <v>49</v>
      </c>
      <c r="K3" t="s">
        <v>25</v>
      </c>
      <c r="L3">
        <v>3.1E-2</v>
      </c>
    </row>
    <row r="4" spans="1:12" ht="45" x14ac:dyDescent="0.25">
      <c r="A4" s="15" t="s">
        <v>20</v>
      </c>
      <c r="B4" s="15" t="s">
        <v>28</v>
      </c>
      <c r="C4" s="12" t="s">
        <v>42</v>
      </c>
      <c r="D4" s="9"/>
      <c r="E4" s="9"/>
      <c r="F4" s="13">
        <f>1-F9-L3</f>
        <v>0.61319999999999997</v>
      </c>
      <c r="G4" s="9">
        <f>D4*F4+E4*F4</f>
        <v>0</v>
      </c>
      <c r="H4" s="9">
        <f>D4*F4+E4*F4</f>
        <v>0</v>
      </c>
      <c r="K4" t="s">
        <v>29</v>
      </c>
      <c r="L4">
        <v>0.35580000000000001</v>
      </c>
    </row>
    <row r="5" spans="1:12" ht="30" x14ac:dyDescent="0.25">
      <c r="A5" s="15" t="s">
        <v>20</v>
      </c>
      <c r="B5" s="15" t="s">
        <v>26</v>
      </c>
      <c r="C5" s="12" t="s">
        <v>31</v>
      </c>
      <c r="D5" s="9"/>
      <c r="E5" s="9"/>
      <c r="F5" s="13">
        <f>1-F9</f>
        <v>0.64419999999999999</v>
      </c>
      <c r="G5" s="9">
        <f t="shared" ref="G5:G9" si="0">D5*F5+E5*F5</f>
        <v>0</v>
      </c>
      <c r="H5" s="9">
        <f t="shared" ref="H5:H9" si="1">D5*F5+E5*F5</f>
        <v>0</v>
      </c>
    </row>
    <row r="6" spans="1:12" ht="30" x14ac:dyDescent="0.25">
      <c r="A6" s="15" t="s">
        <v>20</v>
      </c>
      <c r="B6" s="15" t="s">
        <v>45</v>
      </c>
      <c r="C6" s="12" t="s">
        <v>35</v>
      </c>
      <c r="D6" s="9"/>
      <c r="E6" s="9"/>
      <c r="F6" s="13">
        <v>1</v>
      </c>
      <c r="G6" s="9">
        <f t="shared" si="0"/>
        <v>0</v>
      </c>
      <c r="H6" s="9">
        <f t="shared" si="1"/>
        <v>0</v>
      </c>
    </row>
    <row r="7" spans="1:12" x14ac:dyDescent="0.25">
      <c r="A7" s="15" t="s">
        <v>20</v>
      </c>
      <c r="B7" s="15" t="s">
        <v>27</v>
      </c>
      <c r="C7" s="12" t="s">
        <v>30</v>
      </c>
      <c r="D7" s="9"/>
      <c r="E7" s="9" t="s">
        <v>50</v>
      </c>
      <c r="F7" s="13">
        <v>0.24</v>
      </c>
      <c r="G7" s="9">
        <f>D7*F7</f>
        <v>0</v>
      </c>
      <c r="H7" s="9">
        <v>0</v>
      </c>
    </row>
    <row r="8" spans="1:12" ht="30" x14ac:dyDescent="0.25">
      <c r="A8" s="15" t="s">
        <v>20</v>
      </c>
      <c r="B8" s="15" t="s">
        <v>40</v>
      </c>
      <c r="C8" s="12" t="s">
        <v>41</v>
      </c>
      <c r="D8" s="9"/>
      <c r="E8" s="9" t="s">
        <v>50</v>
      </c>
      <c r="F8" s="13">
        <v>0.27800000000000002</v>
      </c>
      <c r="G8" s="9">
        <f>D8*F8</f>
        <v>0</v>
      </c>
      <c r="H8" s="9">
        <v>0</v>
      </c>
    </row>
    <row r="9" spans="1:12" x14ac:dyDescent="0.25">
      <c r="A9" s="15" t="s">
        <v>21</v>
      </c>
      <c r="B9" s="15"/>
      <c r="C9" s="12" t="s">
        <v>23</v>
      </c>
      <c r="D9" s="9"/>
      <c r="E9" s="9"/>
      <c r="F9" s="13">
        <f>L4</f>
        <v>0.35580000000000001</v>
      </c>
      <c r="G9" s="9">
        <f t="shared" si="0"/>
        <v>0</v>
      </c>
      <c r="H9" s="9">
        <f t="shared" si="1"/>
        <v>0</v>
      </c>
    </row>
    <row r="10" spans="1:12" ht="60" x14ac:dyDescent="0.25">
      <c r="A10" s="15" t="s">
        <v>39</v>
      </c>
      <c r="B10" s="15" t="s">
        <v>37</v>
      </c>
      <c r="C10" s="14" t="s">
        <v>36</v>
      </c>
      <c r="D10" s="9"/>
      <c r="E10" s="9"/>
      <c r="F10" s="13">
        <f>F5</f>
        <v>0.64419999999999999</v>
      </c>
      <c r="G10" s="9">
        <f>D10*F10+E10*F10</f>
        <v>0</v>
      </c>
      <c r="H10" s="9">
        <f>D10*F10+E10*F10</f>
        <v>0</v>
      </c>
    </row>
    <row r="11" spans="1:12" x14ac:dyDescent="0.25">
      <c r="A11" s="15"/>
      <c r="B11" s="15"/>
      <c r="C11" s="14"/>
      <c r="D11" s="9" t="s">
        <v>51</v>
      </c>
      <c r="E11" s="9" t="s">
        <v>52</v>
      </c>
      <c r="F11" s="13"/>
      <c r="G11" s="9"/>
      <c r="H11" s="9"/>
    </row>
    <row r="12" spans="1:12" ht="30" x14ac:dyDescent="0.25">
      <c r="A12" s="15" t="s">
        <v>32</v>
      </c>
      <c r="B12" s="15" t="s">
        <v>34</v>
      </c>
      <c r="C12" s="12" t="s">
        <v>44</v>
      </c>
      <c r="D12" s="9"/>
      <c r="E12" s="9"/>
      <c r="F12" s="17" t="s">
        <v>53</v>
      </c>
      <c r="G12" s="9"/>
      <c r="H12" s="9"/>
    </row>
    <row r="13" spans="1:12" ht="75" x14ac:dyDescent="0.25">
      <c r="A13" s="15" t="s">
        <v>32</v>
      </c>
      <c r="B13" s="15" t="s">
        <v>33</v>
      </c>
      <c r="C13" s="12" t="s">
        <v>38</v>
      </c>
      <c r="D13" s="9"/>
      <c r="E13" s="9"/>
      <c r="F13" s="17" t="s">
        <v>53</v>
      </c>
      <c r="G13" s="9"/>
      <c r="H13" s="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C26" sqref="C26"/>
    </sheetView>
  </sheetViews>
  <sheetFormatPr defaultRowHeight="15" x14ac:dyDescent="0.25"/>
  <cols>
    <col min="1" max="1" width="25.85546875" customWidth="1"/>
    <col min="2" max="2" width="36.5703125" bestFit="1" customWidth="1"/>
    <col min="3" max="3" width="33.5703125" bestFit="1" customWidth="1"/>
    <col min="4" max="4" width="34.140625" bestFit="1" customWidth="1"/>
  </cols>
  <sheetData>
    <row r="1" spans="1:4" x14ac:dyDescent="0.25">
      <c r="A1" s="18" t="s">
        <v>13</v>
      </c>
      <c r="B1" s="18"/>
      <c r="C1" s="18"/>
      <c r="D1" s="18"/>
    </row>
    <row r="2" spans="1:4" ht="30" customHeight="1" x14ac:dyDescent="0.25">
      <c r="A2" s="8" t="s">
        <v>8</v>
      </c>
      <c r="B2" s="8" t="s">
        <v>9</v>
      </c>
      <c r="C2" s="8" t="s">
        <v>10</v>
      </c>
      <c r="D2" s="8" t="s">
        <v>11</v>
      </c>
    </row>
    <row r="3" spans="1:4" x14ac:dyDescent="0.25">
      <c r="A3" s="3">
        <v>500</v>
      </c>
      <c r="B3" s="4">
        <f t="shared" ref="B3:B4" si="0">A3/18</f>
        <v>27.777777777777779</v>
      </c>
      <c r="C3" s="4">
        <f t="shared" ref="C3:C4" si="1">(SQRT(B3)+8)^2</f>
        <v>176.10518204893455</v>
      </c>
      <c r="D3" s="5">
        <v>1</v>
      </c>
    </row>
    <row r="4" spans="1:4" x14ac:dyDescent="0.25">
      <c r="A4" s="3">
        <v>1000</v>
      </c>
      <c r="B4" s="4">
        <f t="shared" si="0"/>
        <v>55.555555555555557</v>
      </c>
      <c r="C4" s="4">
        <f t="shared" si="1"/>
        <v>238.81251435554432</v>
      </c>
      <c r="D4" s="5">
        <v>1</v>
      </c>
    </row>
    <row r="5" spans="1:4" x14ac:dyDescent="0.25">
      <c r="A5" s="3">
        <v>2000</v>
      </c>
      <c r="B5" s="4">
        <f>A5/18</f>
        <v>111.11111111111111</v>
      </c>
      <c r="C5" s="4">
        <f>(SQRT(B5)+8)^2</f>
        <v>343.76591965342465</v>
      </c>
      <c r="D5" s="5">
        <v>1</v>
      </c>
    </row>
    <row r="6" spans="1:4" x14ac:dyDescent="0.25">
      <c r="A6" s="3">
        <v>5000</v>
      </c>
      <c r="B6" s="4">
        <f>A6/18</f>
        <v>277.77777777777777</v>
      </c>
      <c r="C6" s="4">
        <f>(SQRT(B6)+8)^2</f>
        <v>608.44444444444446</v>
      </c>
      <c r="D6" s="5">
        <v>1</v>
      </c>
    </row>
    <row r="7" spans="1:4" x14ac:dyDescent="0.25">
      <c r="A7" s="3">
        <v>10000</v>
      </c>
      <c r="B7" s="4">
        <f t="shared" ref="B7:B14" si="2">A7/18</f>
        <v>555.55555555555554</v>
      </c>
      <c r="C7" s="4">
        <f t="shared" ref="C7:C14" si="3">(SQRT(B7)+8)^2</f>
        <v>996.6791721883809</v>
      </c>
      <c r="D7" s="5">
        <v>1</v>
      </c>
    </row>
    <row r="8" spans="1:4" x14ac:dyDescent="0.25">
      <c r="A8" s="3">
        <v>20000</v>
      </c>
      <c r="B8" s="4">
        <f t="shared" si="2"/>
        <v>1111.1111111111111</v>
      </c>
      <c r="C8" s="4">
        <f t="shared" si="3"/>
        <v>1708.4444444444446</v>
      </c>
      <c r="D8" s="5">
        <v>1</v>
      </c>
    </row>
    <row r="9" spans="1:4" x14ac:dyDescent="0.25">
      <c r="A9" s="3">
        <v>40000</v>
      </c>
      <c r="B9" s="4">
        <f t="shared" si="2"/>
        <v>2222.2222222222222</v>
      </c>
      <c r="C9" s="4">
        <f t="shared" si="3"/>
        <v>3040.4694554878729</v>
      </c>
      <c r="D9" s="5">
        <v>2</v>
      </c>
    </row>
    <row r="10" spans="1:4" x14ac:dyDescent="0.25">
      <c r="A10" s="3">
        <v>60000</v>
      </c>
      <c r="B10" s="4">
        <f t="shared" si="2"/>
        <v>3333.3333333333335</v>
      </c>
      <c r="C10" s="4">
        <f t="shared" si="3"/>
        <v>4321.0937640367347</v>
      </c>
      <c r="D10" s="5">
        <v>2</v>
      </c>
    </row>
    <row r="11" spans="1:4" x14ac:dyDescent="0.25">
      <c r="A11" s="3">
        <v>80000</v>
      </c>
      <c r="B11" s="4">
        <f t="shared" si="2"/>
        <v>4444.4444444444443</v>
      </c>
      <c r="C11" s="4">
        <f t="shared" si="3"/>
        <v>5575.1111111111122</v>
      </c>
      <c r="D11" s="5">
        <v>2</v>
      </c>
    </row>
    <row r="12" spans="1:4" x14ac:dyDescent="0.25">
      <c r="A12" s="3">
        <v>100000</v>
      </c>
      <c r="B12" s="4">
        <f t="shared" si="2"/>
        <v>5555.5555555555557</v>
      </c>
      <c r="C12" s="4">
        <f t="shared" si="3"/>
        <v>6812.1251435554423</v>
      </c>
      <c r="D12" s="5">
        <v>3</v>
      </c>
    </row>
    <row r="13" spans="1:4" x14ac:dyDescent="0.25">
      <c r="A13" s="3">
        <v>120000</v>
      </c>
      <c r="B13" s="4">
        <f t="shared" si="2"/>
        <v>6666.666666666667</v>
      </c>
      <c r="C13" s="4">
        <f t="shared" si="3"/>
        <v>8037.0611961510294</v>
      </c>
      <c r="D13" s="5">
        <v>4</v>
      </c>
    </row>
    <row r="14" spans="1:4" x14ac:dyDescent="0.25">
      <c r="A14" s="3">
        <v>140000</v>
      </c>
      <c r="B14" s="4">
        <f t="shared" si="2"/>
        <v>7777.7777777777774</v>
      </c>
      <c r="C14" s="4">
        <f t="shared" si="3"/>
        <v>9252.8451436788928</v>
      </c>
      <c r="D14" s="5">
        <v>4</v>
      </c>
    </row>
    <row r="16" spans="1:4" x14ac:dyDescent="0.25">
      <c r="A16" s="7" t="s">
        <v>14</v>
      </c>
    </row>
    <row r="17" spans="1:4" x14ac:dyDescent="0.25">
      <c r="A17" t="s">
        <v>16</v>
      </c>
    </row>
    <row r="18" spans="1:4" x14ac:dyDescent="0.25">
      <c r="A18" t="s">
        <v>15</v>
      </c>
    </row>
    <row r="19" spans="1:4" x14ac:dyDescent="0.25">
      <c r="A19" t="s">
        <v>17</v>
      </c>
    </row>
    <row r="20" spans="1:4" x14ac:dyDescent="0.25">
      <c r="A20" t="s">
        <v>18</v>
      </c>
    </row>
    <row r="21" spans="1:4" x14ac:dyDescent="0.25">
      <c r="A21" t="s">
        <v>12</v>
      </c>
    </row>
    <row r="22" spans="1:4" ht="30.75" customHeight="1" x14ac:dyDescent="0.25">
      <c r="A22" s="19"/>
      <c r="B22" s="19"/>
      <c r="C22" s="19"/>
      <c r="D22" s="19"/>
    </row>
  </sheetData>
  <mergeCells count="2">
    <mergeCell ref="A1:D1"/>
    <mergeCell ref="A22:D2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B20" sqref="B20"/>
    </sheetView>
  </sheetViews>
  <sheetFormatPr defaultRowHeight="15" x14ac:dyDescent="0.25"/>
  <cols>
    <col min="1" max="1" width="25.85546875" customWidth="1"/>
    <col min="2" max="2" width="23.7109375" customWidth="1"/>
    <col min="3" max="3" width="19.7109375" customWidth="1"/>
    <col min="4" max="4" width="26" customWidth="1"/>
    <col min="5" max="5" width="16.28515625" customWidth="1"/>
  </cols>
  <sheetData>
    <row r="1" spans="1:5" x14ac:dyDescent="0.25">
      <c r="A1" s="18" t="s">
        <v>59</v>
      </c>
      <c r="B1" s="18"/>
      <c r="C1" s="18"/>
      <c r="D1" s="18"/>
    </row>
    <row r="2" spans="1:5" ht="30" customHeight="1" x14ac:dyDescent="0.25">
      <c r="A2" s="8" t="s">
        <v>8</v>
      </c>
      <c r="B2" s="8" t="s">
        <v>9</v>
      </c>
      <c r="C2" s="8" t="s">
        <v>10</v>
      </c>
      <c r="D2" s="8" t="s">
        <v>58</v>
      </c>
      <c r="E2" s="8" t="s">
        <v>56</v>
      </c>
    </row>
    <row r="3" spans="1:5" ht="30" customHeight="1" x14ac:dyDescent="0.25">
      <c r="A3" s="3">
        <v>250</v>
      </c>
      <c r="B3" s="4">
        <f>A3*0.185</f>
        <v>46.25</v>
      </c>
      <c r="C3" s="4">
        <f>(SQRT(B3)+4)^2</f>
        <v>116.6558820349418</v>
      </c>
      <c r="D3" s="4">
        <f>(B3+C3)*0.5*0.5</f>
        <v>40.726470508735446</v>
      </c>
      <c r="E3" s="9">
        <v>1.63</v>
      </c>
    </row>
    <row r="4" spans="1:5" x14ac:dyDescent="0.25">
      <c r="A4" s="3">
        <v>500</v>
      </c>
      <c r="B4" s="4">
        <f>A4*0.185*0.9</f>
        <v>83.25</v>
      </c>
      <c r="C4" s="4">
        <f>(SQRT(B4)+4)^2</f>
        <v>172.24315036357862</v>
      </c>
      <c r="D4" s="4">
        <f>(B4+C4)*0.5*0.5</f>
        <v>63.873287590894655</v>
      </c>
      <c r="E4" s="9">
        <v>1.63</v>
      </c>
    </row>
    <row r="5" spans="1:5" x14ac:dyDescent="0.25">
      <c r="A5" s="3">
        <v>1000</v>
      </c>
      <c r="B5" s="4">
        <f>A5*0.185</f>
        <v>185</v>
      </c>
      <c r="C5" s="4">
        <f t="shared" ref="C5:C7" si="0">(SQRT(B5)+4)^2</f>
        <v>309.81176406988362</v>
      </c>
      <c r="D5" s="4">
        <f>(B5+C5)*0.5*0.5</f>
        <v>123.70294101747091</v>
      </c>
      <c r="E5" s="9">
        <v>1.63</v>
      </c>
    </row>
    <row r="6" spans="1:5" x14ac:dyDescent="0.25">
      <c r="A6" s="3">
        <v>2000</v>
      </c>
      <c r="B6" s="4">
        <f>A6*0.185*1.1</f>
        <v>407.00000000000006</v>
      </c>
      <c r="C6" s="4">
        <f t="shared" si="0"/>
        <v>584.39392801465613</v>
      </c>
      <c r="D6" s="4">
        <f>(B6+C6)*0.5*0.5</f>
        <v>247.84848200366406</v>
      </c>
      <c r="E6" s="9">
        <v>1.63</v>
      </c>
    </row>
    <row r="7" spans="1:5" x14ac:dyDescent="0.25">
      <c r="A7" s="3">
        <v>5000</v>
      </c>
      <c r="B7" s="4">
        <f>A7*0.185*1.2</f>
        <v>1110</v>
      </c>
      <c r="C7" s="4">
        <f t="shared" si="0"/>
        <v>1392.5332999833231</v>
      </c>
      <c r="D7" s="4">
        <f>(B7+C7)*0.5*0.5</f>
        <v>625.63332499583078</v>
      </c>
      <c r="E7" s="9">
        <v>1.63</v>
      </c>
    </row>
    <row r="9" spans="1:5" x14ac:dyDescent="0.25">
      <c r="A9" s="7" t="s">
        <v>14</v>
      </c>
    </row>
    <row r="10" spans="1:5" x14ac:dyDescent="0.25">
      <c r="A10" t="s">
        <v>60</v>
      </c>
    </row>
    <row r="11" spans="1:5" x14ac:dyDescent="0.25">
      <c r="A11" t="s">
        <v>54</v>
      </c>
    </row>
    <row r="12" spans="1:5" x14ac:dyDescent="0.25">
      <c r="A12" t="s">
        <v>55</v>
      </c>
    </row>
    <row r="13" spans="1:5" x14ac:dyDescent="0.25">
      <c r="A13" t="s">
        <v>57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9"/>
  <sheetViews>
    <sheetView workbookViewId="0">
      <selection activeCell="C8" sqref="C8"/>
    </sheetView>
  </sheetViews>
  <sheetFormatPr defaultRowHeight="15" x14ac:dyDescent="0.25"/>
  <cols>
    <col min="2" max="2" width="11.85546875" bestFit="1" customWidth="1"/>
  </cols>
  <sheetData>
    <row r="2" spans="2:9" x14ac:dyDescent="0.25">
      <c r="B2" t="s">
        <v>0</v>
      </c>
      <c r="C2" s="1">
        <v>0.1</v>
      </c>
      <c r="D2" t="s">
        <v>1</v>
      </c>
      <c r="E2" t="s">
        <v>2</v>
      </c>
      <c r="F2" t="s">
        <v>3</v>
      </c>
      <c r="G2" t="s">
        <v>6</v>
      </c>
      <c r="H2" t="s">
        <v>4</v>
      </c>
      <c r="I2" t="s">
        <v>5</v>
      </c>
    </row>
    <row r="3" spans="2:9" x14ac:dyDescent="0.25">
      <c r="B3">
        <v>43560</v>
      </c>
      <c r="C3">
        <f>B3*0.1</f>
        <v>4356</v>
      </c>
      <c r="D3">
        <f>SQRT(C3)</f>
        <v>66</v>
      </c>
      <c r="E3">
        <f>D3+16</f>
        <v>82</v>
      </c>
      <c r="F3">
        <f>E3*E3</f>
        <v>6724</v>
      </c>
      <c r="G3">
        <v>80</v>
      </c>
      <c r="H3">
        <v>616</v>
      </c>
      <c r="I3">
        <v>8610</v>
      </c>
    </row>
    <row r="4" spans="2:9" x14ac:dyDescent="0.25">
      <c r="C4">
        <v>2200</v>
      </c>
      <c r="D4">
        <f>SQRT(C4)</f>
        <v>46.904157598234299</v>
      </c>
      <c r="E4">
        <f>D4+16</f>
        <v>62.904157598234299</v>
      </c>
      <c r="F4">
        <f>E4*E4</f>
        <v>3956.9330431434978</v>
      </c>
      <c r="G4">
        <v>79</v>
      </c>
    </row>
    <row r="5" spans="2:9" x14ac:dyDescent="0.25">
      <c r="C5">
        <v>2300</v>
      </c>
      <c r="D5">
        <f t="shared" ref="D5:D8" si="0">SQRT(C5)</f>
        <v>47.958315233127195</v>
      </c>
      <c r="E5">
        <f t="shared" ref="E5:E8" si="1">D5+16</f>
        <v>63.958315233127195</v>
      </c>
      <c r="F5">
        <f t="shared" ref="F5:F8" si="2">E5*E5</f>
        <v>4090.6660874600702</v>
      </c>
    </row>
    <row r="6" spans="2:9" x14ac:dyDescent="0.25">
      <c r="C6" s="2">
        <f>B3/18</f>
        <v>2420</v>
      </c>
      <c r="D6">
        <f t="shared" si="0"/>
        <v>49.193495504995376</v>
      </c>
      <c r="E6">
        <f t="shared" si="1"/>
        <v>65.193495504995383</v>
      </c>
      <c r="F6">
        <f t="shared" si="2"/>
        <v>4250.1918561598532</v>
      </c>
    </row>
    <row r="7" spans="2:9" x14ac:dyDescent="0.25">
      <c r="B7" t="s">
        <v>7</v>
      </c>
      <c r="C7">
        <v>4800</v>
      </c>
      <c r="D7">
        <f t="shared" si="0"/>
        <v>69.282032302755098</v>
      </c>
      <c r="E7">
        <f t="shared" si="1"/>
        <v>85.282032302755098</v>
      </c>
      <c r="F7">
        <f t="shared" si="2"/>
        <v>7273.0250336881645</v>
      </c>
      <c r="G7">
        <v>79.97</v>
      </c>
    </row>
    <row r="8" spans="2:9" x14ac:dyDescent="0.25">
      <c r="B8">
        <f>B3/C6</f>
        <v>18</v>
      </c>
      <c r="C8">
        <f>C6*3</f>
        <v>7260</v>
      </c>
      <c r="D8">
        <f t="shared" si="0"/>
        <v>85.205633616563176</v>
      </c>
      <c r="E8">
        <f t="shared" si="1"/>
        <v>101.20563361656318</v>
      </c>
      <c r="F8">
        <f t="shared" si="2"/>
        <v>10242.580275730023</v>
      </c>
    </row>
    <row r="9" spans="2:9" x14ac:dyDescent="0.25">
      <c r="B9">
        <f>(B3*3)/C8</f>
        <v>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opLeftCell="A20" workbookViewId="0">
      <selection activeCell="C28" sqref="C28"/>
    </sheetView>
  </sheetViews>
  <sheetFormatPr defaultRowHeight="15" x14ac:dyDescent="0.25"/>
  <cols>
    <col min="1" max="1" width="25.85546875" customWidth="1"/>
    <col min="2" max="2" width="36.5703125" bestFit="1" customWidth="1"/>
    <col min="3" max="3" width="33.5703125" bestFit="1" customWidth="1"/>
    <col min="4" max="4" width="34.140625" bestFit="1" customWidth="1"/>
  </cols>
  <sheetData>
    <row r="1" spans="1:4" x14ac:dyDescent="0.25">
      <c r="A1" s="18" t="s">
        <v>13</v>
      </c>
      <c r="B1" s="18"/>
      <c r="C1" s="18"/>
      <c r="D1" s="18"/>
    </row>
    <row r="2" spans="1:4" ht="30" customHeight="1" x14ac:dyDescent="0.25">
      <c r="A2" s="8" t="s">
        <v>8</v>
      </c>
      <c r="B2" s="8" t="s">
        <v>9</v>
      </c>
      <c r="C2" s="8" t="s">
        <v>10</v>
      </c>
      <c r="D2" s="8" t="s">
        <v>11</v>
      </c>
    </row>
    <row r="3" spans="1:4" x14ac:dyDescent="0.25">
      <c r="A3" s="3">
        <v>5000</v>
      </c>
      <c r="B3" s="4">
        <f>A3/18</f>
        <v>277.77777777777777</v>
      </c>
      <c r="C3" s="4">
        <f>(SQRT(B3)+8)^2</f>
        <v>608.44444444444446</v>
      </c>
      <c r="D3" s="5">
        <v>1</v>
      </c>
    </row>
    <row r="4" spans="1:4" x14ac:dyDescent="0.25">
      <c r="A4" s="3">
        <v>10000</v>
      </c>
      <c r="B4" s="4">
        <f t="shared" ref="B4:B11" si="0">A4/18</f>
        <v>555.55555555555554</v>
      </c>
      <c r="C4" s="4">
        <f t="shared" ref="C4:C11" si="1">(SQRT(B4)+8)^2</f>
        <v>996.6791721883809</v>
      </c>
      <c r="D4" s="5">
        <v>1</v>
      </c>
    </row>
    <row r="5" spans="1:4" x14ac:dyDescent="0.25">
      <c r="A5" s="3">
        <v>20000</v>
      </c>
      <c r="B5" s="4">
        <f t="shared" si="0"/>
        <v>1111.1111111111111</v>
      </c>
      <c r="C5" s="4">
        <f t="shared" si="1"/>
        <v>1708.4444444444446</v>
      </c>
      <c r="D5" s="5">
        <v>1</v>
      </c>
    </row>
    <row r="6" spans="1:4" x14ac:dyDescent="0.25">
      <c r="A6" s="3">
        <v>40000</v>
      </c>
      <c r="B6" s="4">
        <f t="shared" si="0"/>
        <v>2222.2222222222222</v>
      </c>
      <c r="C6" s="4">
        <f t="shared" si="1"/>
        <v>3040.4694554878729</v>
      </c>
      <c r="D6" s="5">
        <v>2</v>
      </c>
    </row>
    <row r="7" spans="1:4" x14ac:dyDescent="0.25">
      <c r="A7" s="3">
        <v>60000</v>
      </c>
      <c r="B7" s="4">
        <f t="shared" si="0"/>
        <v>3333.3333333333335</v>
      </c>
      <c r="C7" s="4">
        <f t="shared" si="1"/>
        <v>4321.0937640367347</v>
      </c>
      <c r="D7" s="5">
        <v>2</v>
      </c>
    </row>
    <row r="8" spans="1:4" x14ac:dyDescent="0.25">
      <c r="A8" s="3">
        <v>80000</v>
      </c>
      <c r="B8" s="4">
        <f t="shared" si="0"/>
        <v>4444.4444444444443</v>
      </c>
      <c r="C8" s="4">
        <f t="shared" si="1"/>
        <v>5575.1111111111122</v>
      </c>
      <c r="D8" s="5">
        <v>2</v>
      </c>
    </row>
    <row r="9" spans="1:4" x14ac:dyDescent="0.25">
      <c r="A9" s="3">
        <v>100000</v>
      </c>
      <c r="B9" s="4">
        <f t="shared" si="0"/>
        <v>5555.5555555555557</v>
      </c>
      <c r="C9" s="4">
        <f t="shared" si="1"/>
        <v>6812.1251435554423</v>
      </c>
      <c r="D9" s="5">
        <v>3</v>
      </c>
    </row>
    <row r="10" spans="1:4" x14ac:dyDescent="0.25">
      <c r="A10" s="3">
        <v>120000</v>
      </c>
      <c r="B10" s="4">
        <f t="shared" si="0"/>
        <v>6666.666666666667</v>
      </c>
      <c r="C10" s="4">
        <f t="shared" si="1"/>
        <v>8037.0611961510294</v>
      </c>
      <c r="D10" s="5">
        <v>4</v>
      </c>
    </row>
    <row r="11" spans="1:4" x14ac:dyDescent="0.25">
      <c r="A11" s="3">
        <v>140000</v>
      </c>
      <c r="B11" s="4">
        <f t="shared" si="0"/>
        <v>7777.7777777777774</v>
      </c>
      <c r="C11" s="4">
        <f t="shared" si="1"/>
        <v>9252.8451436788928</v>
      </c>
      <c r="D11" s="5">
        <v>4</v>
      </c>
    </row>
    <row r="13" spans="1:4" x14ac:dyDescent="0.25">
      <c r="A13" s="7" t="s">
        <v>14</v>
      </c>
    </row>
    <row r="14" spans="1:4" x14ac:dyDescent="0.25">
      <c r="A14" t="s">
        <v>16</v>
      </c>
    </row>
    <row r="15" spans="1:4" x14ac:dyDescent="0.25">
      <c r="A15" t="s">
        <v>15</v>
      </c>
    </row>
    <row r="16" spans="1:4" x14ac:dyDescent="0.25">
      <c r="A16" t="s">
        <v>17</v>
      </c>
    </row>
    <row r="17" spans="1:4" x14ac:dyDescent="0.25">
      <c r="A17" t="s">
        <v>18</v>
      </c>
    </row>
    <row r="18" spans="1:4" x14ac:dyDescent="0.25">
      <c r="A18" t="s">
        <v>12</v>
      </c>
    </row>
    <row r="19" spans="1:4" ht="30.75" customHeight="1" x14ac:dyDescent="0.25">
      <c r="A19" s="19"/>
      <c r="B19" s="19"/>
      <c r="C19" s="19"/>
      <c r="D19" s="19"/>
    </row>
  </sheetData>
  <mergeCells count="2">
    <mergeCell ref="A1:D1"/>
    <mergeCell ref="A19:D1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credit master list</vt:lpstr>
      <vt:lpstr>Commercial TSS only Treatment</vt:lpstr>
      <vt:lpstr>Residential Raingarden </vt:lpstr>
      <vt:lpstr>Sheet1</vt:lpstr>
      <vt:lpstr>Sheet2</vt:lpstr>
    </vt:vector>
  </TitlesOfParts>
  <Company>City of Madison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Gaebler, Phil</dc:creator>
  <cp:lastModifiedBy>Gaebler, Phil</cp:lastModifiedBy>
  <dcterms:created xsi:type="dcterms:W3CDTF">2021-07-29T02:30:20Z</dcterms:created>
  <dcterms:modified xsi:type="dcterms:W3CDTF">2021-10-19T15:00:22Z</dcterms:modified>
</cp:coreProperties>
</file>